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280" windowHeight="8955" activeTab="7"/>
  </bookViews>
  <sheets>
    <sheet name="Гуртожиток №2" sheetId="7" r:id="rId1"/>
    <sheet name="Гуртожиток №3" sheetId="6" r:id="rId2"/>
    <sheet name="Гуртожиток №4" sheetId="5" r:id="rId3"/>
    <sheet name="Гуртожиток №5" sheetId="4" r:id="rId4"/>
    <sheet name="2020" sheetId="3" r:id="rId5"/>
    <sheet name="2021" sheetId="8" r:id="rId6"/>
    <sheet name="2022" sheetId="9" r:id="rId7"/>
    <sheet name="2023" sheetId="2" r:id="rId8"/>
  </sheets>
  <definedNames>
    <definedName name="_xlnm.Print_Area" localSheetId="7">'2023'!$A$1:$K$23</definedName>
  </definedNames>
  <calcPr calcId="145621"/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0" i="2" l="1"/>
  <c r="H9" i="2"/>
  <c r="H19" i="2"/>
  <c r="E16" i="2"/>
  <c r="E15" i="2"/>
  <c r="E14" i="2"/>
  <c r="E13" i="2"/>
  <c r="E12" i="2"/>
  <c r="E11" i="2"/>
  <c r="E10" i="2"/>
  <c r="E9" i="2"/>
  <c r="E6" i="2" s="1"/>
  <c r="C23" i="2" s="1"/>
  <c r="K21" i="9"/>
  <c r="H16" i="9"/>
  <c r="H15" i="9"/>
  <c r="H14" i="9"/>
  <c r="H13" i="9"/>
  <c r="H12" i="9"/>
  <c r="H11" i="9"/>
  <c r="E11" i="9"/>
  <c r="H10" i="9"/>
  <c r="H6" i="9" s="1"/>
  <c r="H9" i="9"/>
  <c r="J6" i="9"/>
  <c r="I6" i="9"/>
  <c r="E6" i="9"/>
  <c r="C22" i="9" s="1"/>
  <c r="F22" i="9" l="1"/>
  <c r="K6" i="9"/>
  <c r="F24" i="8"/>
  <c r="A24" i="8"/>
  <c r="K23" i="8"/>
  <c r="H13" i="8"/>
  <c r="K7" i="8"/>
  <c r="J7" i="8"/>
  <c r="I7" i="8"/>
  <c r="H7" i="8"/>
  <c r="I6" i="2" l="1"/>
  <c r="J6" i="2"/>
  <c r="H11" i="2"/>
  <c r="H6" i="2" s="1"/>
  <c r="K6" i="2" l="1"/>
  <c r="F23" i="2"/>
  <c r="K23" i="3"/>
  <c r="H13" i="3"/>
  <c r="E13" i="3"/>
  <c r="J7" i="3"/>
  <c r="I7" i="3"/>
  <c r="H7" i="3"/>
  <c r="F24" i="3" s="1"/>
  <c r="E7" i="3"/>
  <c r="A24" i="3" s="1"/>
  <c r="K7" i="3" l="1"/>
  <c r="H15" i="6"/>
  <c r="E15" i="6"/>
  <c r="H16" i="4"/>
  <c r="E16" i="4"/>
  <c r="H16" i="5"/>
  <c r="E16" i="5"/>
  <c r="H16" i="6"/>
  <c r="E16" i="6"/>
  <c r="H18" i="4"/>
  <c r="E18" i="4"/>
  <c r="H12" i="4"/>
  <c r="E12" i="4"/>
  <c r="H11" i="4"/>
  <c r="E11" i="4"/>
  <c r="H18" i="5"/>
  <c r="E18" i="5"/>
  <c r="E13" i="5" s="1"/>
  <c r="H12" i="5"/>
  <c r="E12" i="5"/>
  <c r="H11" i="5"/>
  <c r="E11" i="5"/>
  <c r="H18" i="6"/>
  <c r="E18" i="6"/>
  <c r="E13" i="6" s="1"/>
  <c r="H12" i="6"/>
  <c r="E12" i="6"/>
  <c r="H11" i="6"/>
  <c r="E11" i="6"/>
  <c r="H10" i="4"/>
  <c r="H9" i="4"/>
  <c r="E10" i="4"/>
  <c r="E9" i="4"/>
  <c r="K23" i="4"/>
  <c r="E13" i="4"/>
  <c r="J7" i="4"/>
  <c r="I7" i="4"/>
  <c r="H10" i="5"/>
  <c r="H9" i="5"/>
  <c r="E9" i="5"/>
  <c r="E10" i="5" s="1"/>
  <c r="K23" i="5"/>
  <c r="J7" i="5"/>
  <c r="I7" i="5"/>
  <c r="H10" i="6"/>
  <c r="H9" i="6"/>
  <c r="E10" i="6"/>
  <c r="E9" i="6"/>
  <c r="K23" i="6"/>
  <c r="J7" i="6"/>
  <c r="E12" i="7"/>
  <c r="H12" i="7"/>
  <c r="F7" i="7"/>
  <c r="I7" i="7" s="1"/>
  <c r="E10" i="7"/>
  <c r="E9" i="7"/>
  <c r="H10" i="7"/>
  <c r="H9" i="7"/>
  <c r="E18" i="7"/>
  <c r="K23" i="7"/>
  <c r="H13" i="7"/>
  <c r="J7" i="7"/>
  <c r="E7" i="4" l="1"/>
  <c r="A24" i="4" s="1"/>
  <c r="H7" i="4"/>
  <c r="E7" i="5"/>
  <c r="A24" i="5" s="1"/>
  <c r="H7" i="5"/>
  <c r="E7" i="6"/>
  <c r="A24" i="6" s="1"/>
  <c r="I7" i="6"/>
  <c r="H7" i="6"/>
  <c r="K7" i="6" s="1"/>
  <c r="H7" i="7"/>
  <c r="F24" i="7" s="1"/>
  <c r="E13" i="7"/>
  <c r="E7" i="7"/>
  <c r="A24" i="7" s="1"/>
  <c r="K22" i="2"/>
  <c r="F24" i="4" l="1"/>
  <c r="K7" i="4"/>
  <c r="F24" i="5"/>
  <c r="K7" i="5"/>
  <c r="F24" i="6"/>
  <c r="K7" i="7"/>
</calcChain>
</file>

<file path=xl/sharedStrings.xml><?xml version="1.0" encoding="utf-8"?>
<sst xmlns="http://schemas.openxmlformats.org/spreadsheetml/2006/main" count="280" uniqueCount="41">
  <si>
    <t>КЕКВ</t>
  </si>
  <si>
    <t>нараховано</t>
  </si>
  <si>
    <t>надійшло</t>
  </si>
  <si>
    <t>відхилення у порівнянні з попереднім періодом</t>
  </si>
  <si>
    <t>середня чисельність проживаючих за рік</t>
  </si>
  <si>
    <t>касові видатки</t>
  </si>
  <si>
    <t>Найменування</t>
  </si>
  <si>
    <t>Заробітна плата</t>
  </si>
  <si>
    <t>Нарахування на зарплату</t>
  </si>
  <si>
    <t>Придбання товарів</t>
  </si>
  <si>
    <t>Оплата послуг (крім комунальних)</t>
  </si>
  <si>
    <t>Оплата комунальних послуг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</si>
  <si>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</si>
  <si>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</si>
  <si>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</si>
  <si>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</si>
  <si>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Інші видатки</t>
  </si>
  <si>
    <t>Придбання обладнання і предметів довгострокового користування</t>
  </si>
  <si>
    <t>Реконструкція та реставрація</t>
  </si>
  <si>
    <t>Таблиця №5</t>
  </si>
  <si>
    <t>2019 рік</t>
  </si>
  <si>
    <t>Оплата інших енергоносіїв</t>
  </si>
  <si>
    <t>Капітальний ремонт житлового фонду</t>
  </si>
  <si>
    <t>грн.</t>
  </si>
  <si>
    <t>2020 рік</t>
  </si>
  <si>
    <t>Аналіз результату діяльності гуртожитків НУ "Запорізька політехніка" за 2019-2020 роки</t>
  </si>
  <si>
    <t>Аналіз результату діяльності гуртожитка №2 НУ "Запорізька політехніка" за 2020-2021 роки</t>
  </si>
  <si>
    <t>2021 рік</t>
  </si>
  <si>
    <t>Аналіз результату діяльності гуртожитка №3 НУ "Запорізька політехніка" за 2020-2021 роки</t>
  </si>
  <si>
    <t>Аналіз результату діяльності гуртожитка №4 НУ "Запорізька політехніка" за 2020-2021 роки</t>
  </si>
  <si>
    <t>Аналіз результату діяльності гуртожитка №5 НУ "Запорізька політехніка" за 2020-2021 роки</t>
  </si>
  <si>
    <t xml:space="preserve"> </t>
  </si>
  <si>
    <t>фактичні видатки</t>
  </si>
  <si>
    <t>Аналіз результату діяльності гуртожитків НУ "Запорізька політехніка" за 2020-2021 роки</t>
  </si>
  <si>
    <t>Таблиця №12</t>
  </si>
  <si>
    <t>2022 рік</t>
  </si>
  <si>
    <t>Аналіз результату діяльності гуртожитків НУ "Запорізька політехніка" за 2021-2022 роки</t>
  </si>
  <si>
    <t>Відхилення надходження від фактичних видатків</t>
  </si>
  <si>
    <t>2023 рік</t>
  </si>
  <si>
    <t>Окремі заходи</t>
  </si>
  <si>
    <t>Аналіз результату діяльності гуртожитків НУ "Запорізька політехніка" за 2022-2023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</si>
</sst>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14" sqref="E14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24</v>
      </c>
      <c r="D4" s="44"/>
      <c r="E4" s="45"/>
      <c r="F4" s="43" t="s">
        <v>27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>
        <v>1583539.24</v>
      </c>
      <c r="D7" s="4">
        <v>1374804.45</v>
      </c>
      <c r="E7" s="4">
        <f>E9+E10+E11+E12+E14+E15+E16+E17+E18+E19+E20+E21+E22</f>
        <v>2130814.0222</v>
      </c>
      <c r="F7" s="4">
        <f>674560.05</f>
        <v>674560.05</v>
      </c>
      <c r="G7" s="4">
        <v>818178.04</v>
      </c>
      <c r="H7" s="4">
        <f>H9+H10+H11+H12+H14+H15+H16+H17+H18+H19+H20+H21+H22</f>
        <v>1440158.1395999999</v>
      </c>
      <c r="I7" s="3">
        <f>F7/C7-100%</f>
        <v>-0.57401747114267909</v>
      </c>
      <c r="J7" s="3">
        <f>G7/D7-100%</f>
        <v>-0.40487678811339312</v>
      </c>
      <c r="K7" s="9">
        <f>H7/E7-100%</f>
        <v>-0.3241277161706112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f>(889335.01-5586.56)</f>
        <v>883748.45</v>
      </c>
      <c r="F9" s="4"/>
      <c r="G9" s="4"/>
      <c r="H9" s="4">
        <f>(825720.68-1802.63)</f>
        <v>823918.05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f>(E9+5586.56)*22%</f>
        <v>195653.7022</v>
      </c>
      <c r="F10" s="4"/>
      <c r="G10" s="4"/>
      <c r="H10" s="4">
        <f>(H9+1802.63)*22%</f>
        <v>181658.5496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v>29749.599999999999</v>
      </c>
      <c r="F11" s="4"/>
      <c r="G11" s="4"/>
      <c r="H11" s="4">
        <v>12298.46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f>74470.8</f>
        <v>74470.8</v>
      </c>
      <c r="F12" s="4"/>
      <c r="G12" s="4"/>
      <c r="H12" s="4">
        <f>28248.56</f>
        <v>28248.560000000001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947191.47000000009</v>
      </c>
      <c r="F13" s="4"/>
      <c r="G13" s="4"/>
      <c r="H13" s="4">
        <f>H14+H15+H16+H17+H18</f>
        <v>394034.51999999996</v>
      </c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587716.17000000004</v>
      </c>
      <c r="F14" s="4"/>
      <c r="G14" s="4"/>
      <c r="H14" s="24"/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v>160298.43</v>
      </c>
      <c r="F15" s="4"/>
      <c r="G15" s="4"/>
      <c r="H15" s="4">
        <v>146368.99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v>143813.70000000001</v>
      </c>
      <c r="F16" s="4"/>
      <c r="G16" s="4"/>
      <c r="H16" s="4">
        <v>220041.36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24"/>
      <c r="F17" s="4"/>
      <c r="G17" s="4"/>
      <c r="H17" s="24"/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f>55363.17</f>
        <v>55363.17</v>
      </c>
      <c r="F18" s="4"/>
      <c r="G18" s="4"/>
      <c r="H18" s="4">
        <v>27624.17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/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/>
      <c r="F21" s="4"/>
      <c r="G21" s="4"/>
      <c r="H21" s="4"/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/>
      <c r="F22" s="4"/>
      <c r="G22" s="4"/>
      <c r="H22" s="4"/>
      <c r="I22" s="5"/>
      <c r="J22" s="5"/>
      <c r="K22" s="10"/>
    </row>
    <row r="23" spans="1:11" ht="42" customHeight="1" thickBot="1" x14ac:dyDescent="0.35">
      <c r="A23" s="31" t="s">
        <v>4</v>
      </c>
      <c r="B23" s="32"/>
      <c r="C23" s="32"/>
      <c r="D23" s="33"/>
      <c r="E23" s="23">
        <v>1396</v>
      </c>
      <c r="F23" s="32" t="s">
        <v>4</v>
      </c>
      <c r="G23" s="33"/>
      <c r="H23" s="23">
        <v>1326</v>
      </c>
      <c r="I23" s="32" t="s">
        <v>4</v>
      </c>
      <c r="J23" s="33"/>
      <c r="K23" s="12">
        <f>H23/E23-100%</f>
        <v>-5.014326647564471E-2</v>
      </c>
    </row>
    <row r="24" spans="1:11" ht="30" customHeight="1" thickBot="1" x14ac:dyDescent="0.35">
      <c r="A24" s="34">
        <f>C7-E7</f>
        <v>-547274.78220000002</v>
      </c>
      <c r="B24" s="35"/>
      <c r="C24" s="35"/>
      <c r="D24" s="35"/>
      <c r="E24" s="36"/>
      <c r="F24" s="35">
        <f>F7-H7</f>
        <v>-765598.08959999983</v>
      </c>
      <c r="G24" s="35"/>
      <c r="H24" s="37"/>
      <c r="I24" s="38"/>
      <c r="J24" s="38"/>
      <c r="K24" s="39"/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H15" sqref="H15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24</v>
      </c>
      <c r="D4" s="44"/>
      <c r="E4" s="45"/>
      <c r="F4" s="43" t="s">
        <v>27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/>
      <c r="D7" s="4"/>
      <c r="E7" s="4">
        <f>E9+E10+E11+E12+E14+E15+E16+E17+E18+E19+E20+E21+E22</f>
        <v>2069220.8603999997</v>
      </c>
      <c r="F7" s="4"/>
      <c r="G7" s="4"/>
      <c r="H7" s="4">
        <f>H9+H10+H11+H12+H14+H15+H16+H17+H18+H19+H20+H21+H22</f>
        <v>1254740.5714</v>
      </c>
      <c r="I7" s="3" t="e">
        <f>F7/C7-100%</f>
        <v>#DIV/0!</v>
      </c>
      <c r="J7" s="3" t="e">
        <f>G7/D7-100%</f>
        <v>#DIV/0!</v>
      </c>
      <c r="K7" s="9">
        <f>H7/E7-100%</f>
        <v>-0.39361689444912762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f>627830.32-5299.14</f>
        <v>622531.17999999993</v>
      </c>
      <c r="F9" s="4"/>
      <c r="G9" s="4"/>
      <c r="H9" s="4">
        <f>617687.87-10473.16</f>
        <v>607214.71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f>(E9+5299.14)*22%</f>
        <v>138122.6704</v>
      </c>
      <c r="F10" s="4"/>
      <c r="G10" s="4"/>
      <c r="H10" s="4">
        <f>(H9+10473.16)*22%</f>
        <v>135891.3314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f>36610.63</f>
        <v>36610.629999999997</v>
      </c>
      <c r="F11" s="4"/>
      <c r="G11" s="4"/>
      <c r="H11" s="4">
        <f>13952.86</f>
        <v>13952.86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f>55143.06</f>
        <v>55143.06</v>
      </c>
      <c r="F12" s="4"/>
      <c r="G12" s="4"/>
      <c r="H12" s="4">
        <f>29281.16</f>
        <v>29281.16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1216813.32</v>
      </c>
      <c r="F13" s="4"/>
      <c r="G13" s="4"/>
      <c r="H13" s="4"/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433361.41</v>
      </c>
      <c r="F14" s="4"/>
      <c r="G14" s="4"/>
      <c r="H14" s="24"/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f>357857.87+201553.5</f>
        <v>559411.37</v>
      </c>
      <c r="F15" s="4"/>
      <c r="G15" s="4"/>
      <c r="H15" s="24">
        <f>187516.08</f>
        <v>187516.08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f>183348</f>
        <v>183348</v>
      </c>
      <c r="F16" s="4"/>
      <c r="G16" s="4"/>
      <c r="H16" s="4">
        <f>261206.4</f>
        <v>261206.39999999999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24"/>
      <c r="F17" s="4"/>
      <c r="G17" s="4"/>
      <c r="H17" s="24"/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f>40692.54</f>
        <v>40692.54</v>
      </c>
      <c r="F18" s="4"/>
      <c r="G18" s="4"/>
      <c r="H18" s="4">
        <f>19678.03</f>
        <v>19678.03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/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/>
      <c r="F21" s="4"/>
      <c r="G21" s="4"/>
      <c r="H21" s="4"/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/>
      <c r="F22" s="4"/>
      <c r="G22" s="4"/>
      <c r="H22" s="4"/>
      <c r="I22" s="5"/>
      <c r="J22" s="5"/>
      <c r="K22" s="10"/>
    </row>
    <row r="23" spans="1:11" ht="42" customHeight="1" thickBot="1" x14ac:dyDescent="0.35">
      <c r="A23" s="31" t="s">
        <v>4</v>
      </c>
      <c r="B23" s="32"/>
      <c r="C23" s="32"/>
      <c r="D23" s="33"/>
      <c r="E23" s="23">
        <v>1396</v>
      </c>
      <c r="F23" s="32" t="s">
        <v>4</v>
      </c>
      <c r="G23" s="33"/>
      <c r="H23" s="23">
        <v>1326</v>
      </c>
      <c r="I23" s="32" t="s">
        <v>4</v>
      </c>
      <c r="J23" s="33"/>
      <c r="K23" s="12">
        <f>H23/E23-100%</f>
        <v>-5.014326647564471E-2</v>
      </c>
    </row>
    <row r="24" spans="1:11" ht="30" customHeight="1" thickBot="1" x14ac:dyDescent="0.35">
      <c r="A24" s="34">
        <f>C7-E7</f>
        <v>-2069220.8603999997</v>
      </c>
      <c r="B24" s="35"/>
      <c r="C24" s="35"/>
      <c r="D24" s="35"/>
      <c r="E24" s="36"/>
      <c r="F24" s="35">
        <f>F7-H7</f>
        <v>-1254740.5714</v>
      </c>
      <c r="G24" s="35"/>
      <c r="H24" s="37"/>
      <c r="I24" s="38"/>
      <c r="J24" s="38"/>
      <c r="K24" s="39"/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H17" sqref="H17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24</v>
      </c>
      <c r="D4" s="44"/>
      <c r="E4" s="45"/>
      <c r="F4" s="43" t="s">
        <v>27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/>
      <c r="D7" s="4"/>
      <c r="E7" s="4">
        <f>E9+E10+E11+E12+E14+E15+E16+E17+E18+E19+E20+E21+E22</f>
        <v>2271309.3459999999</v>
      </c>
      <c r="F7" s="4"/>
      <c r="G7" s="4"/>
      <c r="H7" s="4">
        <f>H9+H10+H11+H12+H14+H15+H16+H17+H18+H19+H20+H21+H22</f>
        <v>1921102.0423999999</v>
      </c>
      <c r="I7" s="3" t="e">
        <f>F7/C7-100%</f>
        <v>#DIV/0!</v>
      </c>
      <c r="J7" s="3" t="e">
        <f>G7/D7-100%</f>
        <v>#DIV/0!</v>
      </c>
      <c r="K7" s="9">
        <f>H7/E7-100%</f>
        <v>-0.15418740922135932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f>1217691.8-5289.72</f>
        <v>1212402.08</v>
      </c>
      <c r="F9" s="4"/>
      <c r="G9" s="4"/>
      <c r="H9" s="4">
        <f>1130176.92-4091.47</f>
        <v>1126085.45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f>(E9+5289.72)*22%</f>
        <v>267892.196</v>
      </c>
      <c r="F10" s="4"/>
      <c r="G10" s="4"/>
      <c r="H10" s="4">
        <f>(H9+4091.47)*22%</f>
        <v>248638.92239999998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f>191311.52</f>
        <v>191311.52</v>
      </c>
      <c r="F11" s="4"/>
      <c r="G11" s="4"/>
      <c r="H11" s="4">
        <f>32665.29</f>
        <v>32665.29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f>256266.1</f>
        <v>256266.1</v>
      </c>
      <c r="F12" s="4"/>
      <c r="G12" s="4"/>
      <c r="H12" s="4">
        <f>53173.15</f>
        <v>53173.15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343437.45</v>
      </c>
      <c r="F13" s="4"/>
      <c r="G13" s="4"/>
      <c r="H13" s="4"/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/>
      <c r="F14" s="4"/>
      <c r="G14" s="4"/>
      <c r="H14" s="24"/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/>
      <c r="F15" s="4"/>
      <c r="G15" s="4"/>
      <c r="H15" s="4"/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f>263565.84</f>
        <v>263565.84000000003</v>
      </c>
      <c r="F16" s="4"/>
      <c r="G16" s="4"/>
      <c r="H16" s="4">
        <f>424211.76</f>
        <v>424211.76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24"/>
      <c r="F17" s="4"/>
      <c r="G17" s="4"/>
      <c r="H17" s="24"/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f>79871.61</f>
        <v>79871.61</v>
      </c>
      <c r="F18" s="4"/>
      <c r="G18" s="4"/>
      <c r="H18" s="4">
        <f>36327.47</f>
        <v>36327.47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/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/>
      <c r="F21" s="4"/>
      <c r="G21" s="4"/>
      <c r="H21" s="4"/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/>
      <c r="F22" s="4"/>
      <c r="G22" s="4"/>
      <c r="H22" s="4"/>
      <c r="I22" s="5"/>
      <c r="J22" s="5"/>
      <c r="K22" s="10"/>
    </row>
    <row r="23" spans="1:11" ht="42" customHeight="1" thickBot="1" x14ac:dyDescent="0.35">
      <c r="A23" s="31" t="s">
        <v>4</v>
      </c>
      <c r="B23" s="32"/>
      <c r="C23" s="32"/>
      <c r="D23" s="33"/>
      <c r="E23" s="23">
        <v>1396</v>
      </c>
      <c r="F23" s="32" t="s">
        <v>4</v>
      </c>
      <c r="G23" s="33"/>
      <c r="H23" s="23">
        <v>1326</v>
      </c>
      <c r="I23" s="32" t="s">
        <v>4</v>
      </c>
      <c r="J23" s="33"/>
      <c r="K23" s="12">
        <f>H23/E23-100%</f>
        <v>-5.014326647564471E-2</v>
      </c>
    </row>
    <row r="24" spans="1:11" ht="30" customHeight="1" thickBot="1" x14ac:dyDescent="0.35">
      <c r="A24" s="34">
        <f>C7-E7</f>
        <v>-2271309.3459999999</v>
      </c>
      <c r="B24" s="35"/>
      <c r="C24" s="35"/>
      <c r="D24" s="35"/>
      <c r="E24" s="36"/>
      <c r="F24" s="35">
        <f>F7-H7</f>
        <v>-1921102.0423999999</v>
      </c>
      <c r="G24" s="35"/>
      <c r="H24" s="37"/>
      <c r="I24" s="38"/>
      <c r="J24" s="38"/>
      <c r="K24" s="39"/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H17" sqref="H17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24</v>
      </c>
      <c r="D4" s="44"/>
      <c r="E4" s="45"/>
      <c r="F4" s="43" t="s">
        <v>27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/>
      <c r="D7" s="4"/>
      <c r="E7" s="4">
        <f>E9+E10+E11+E12+E14+E15+E16+E17+E18+E19+E20+E21+E22</f>
        <v>1629448.1324</v>
      </c>
      <c r="F7" s="4"/>
      <c r="G7" s="4"/>
      <c r="H7" s="4">
        <f>H9+H10+H11+H12+H14+H15+H16+H17+H18+H19+H20+H21+H22</f>
        <v>1588832.3235999998</v>
      </c>
      <c r="I7" s="3" t="e">
        <f>F7/C7-100%</f>
        <v>#DIV/0!</v>
      </c>
      <c r="J7" s="3" t="e">
        <f>G7/D7-100%</f>
        <v>#DIV/0!</v>
      </c>
      <c r="K7" s="9">
        <f>H7/E7-100%</f>
        <v>-2.4926113321678822E-2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f>922132.42-10775.62</f>
        <v>911356.8</v>
      </c>
      <c r="F9" s="4"/>
      <c r="G9" s="4"/>
      <c r="H9" s="4">
        <f>878939.88-8432.87</f>
        <v>870507.01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f>(E9+10775.62)*22%</f>
        <v>202869.1324</v>
      </c>
      <c r="F10" s="4"/>
      <c r="G10" s="4"/>
      <c r="H10" s="4">
        <f>(H9+8432.87)*22%</f>
        <v>193366.77360000001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f>37270.58</f>
        <v>37270.58</v>
      </c>
      <c r="F11" s="4"/>
      <c r="G11" s="4"/>
      <c r="H11" s="4">
        <f>27162.5</f>
        <v>27162.5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f>62294.81</f>
        <v>62294.81</v>
      </c>
      <c r="F12" s="4"/>
      <c r="G12" s="4"/>
      <c r="H12" s="4">
        <f>32593.15</f>
        <v>32593.15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415656.81</v>
      </c>
      <c r="F13" s="4"/>
      <c r="G13" s="4"/>
      <c r="H13" s="4"/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/>
      <c r="F14" s="4"/>
      <c r="G14" s="4"/>
      <c r="H14" s="24"/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/>
      <c r="F15" s="4"/>
      <c r="G15" s="4"/>
      <c r="H15" s="4"/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f>379478.16</f>
        <v>379478.16</v>
      </c>
      <c r="F16" s="4"/>
      <c r="G16" s="4"/>
      <c r="H16" s="4">
        <f>447985.44</f>
        <v>447985.44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24"/>
      <c r="F17" s="4"/>
      <c r="G17" s="4"/>
      <c r="H17" s="24"/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f>36178.65</f>
        <v>36178.65</v>
      </c>
      <c r="F18" s="4"/>
      <c r="G18" s="4"/>
      <c r="H18" s="4">
        <f>17217.45</f>
        <v>17217.45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/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/>
      <c r="F21" s="4"/>
      <c r="G21" s="4"/>
      <c r="H21" s="4"/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/>
      <c r="F22" s="4"/>
      <c r="G22" s="4"/>
      <c r="H22" s="4"/>
      <c r="I22" s="5"/>
      <c r="J22" s="5"/>
      <c r="K22" s="10"/>
    </row>
    <row r="23" spans="1:11" ht="42" customHeight="1" thickBot="1" x14ac:dyDescent="0.35">
      <c r="A23" s="31" t="s">
        <v>4</v>
      </c>
      <c r="B23" s="32"/>
      <c r="C23" s="32"/>
      <c r="D23" s="33"/>
      <c r="E23" s="23">
        <v>1396</v>
      </c>
      <c r="F23" s="32" t="s">
        <v>4</v>
      </c>
      <c r="G23" s="33"/>
      <c r="H23" s="23">
        <v>1326</v>
      </c>
      <c r="I23" s="32" t="s">
        <v>4</v>
      </c>
      <c r="J23" s="33"/>
      <c r="K23" s="12">
        <f>H23/E23-100%</f>
        <v>-5.014326647564471E-2</v>
      </c>
    </row>
    <row r="24" spans="1:11" ht="30" customHeight="1" thickBot="1" x14ac:dyDescent="0.35">
      <c r="A24" s="34">
        <f>C7-E7</f>
        <v>-1629448.1324</v>
      </c>
      <c r="B24" s="35"/>
      <c r="C24" s="35"/>
      <c r="D24" s="35"/>
      <c r="E24" s="36"/>
      <c r="F24" s="35">
        <f>F7-H7</f>
        <v>-1588832.3235999998</v>
      </c>
      <c r="G24" s="35"/>
      <c r="H24" s="37"/>
      <c r="I24" s="38"/>
      <c r="J24" s="38"/>
      <c r="K24" s="39"/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18" sqref="E18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20</v>
      </c>
      <c r="D4" s="44"/>
      <c r="E4" s="45"/>
      <c r="F4" s="43" t="s">
        <v>24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>
        <v>8727558.0199999996</v>
      </c>
      <c r="D7" s="4">
        <v>9670709.9800000004</v>
      </c>
      <c r="E7" s="4">
        <f>E9+E10+E11+E12+E14+E15+E16+E17+E18+E19+E20+E21+E22</f>
        <v>10721987.840000002</v>
      </c>
      <c r="F7" s="4">
        <v>9163486.2300000004</v>
      </c>
      <c r="G7" s="4">
        <v>8545245.0299999993</v>
      </c>
      <c r="H7" s="4">
        <f>H9+H10+H11+H12+H14+H15+H16+H17+H18+H19+H20+H21+H22</f>
        <v>11437807.010000004</v>
      </c>
      <c r="I7" s="3">
        <f>F7/C7-100%</f>
        <v>4.9948474590604919E-2</v>
      </c>
      <c r="J7" s="3">
        <f>G7/D7-100%</f>
        <v>-0.11637873044766889</v>
      </c>
      <c r="K7" s="9">
        <f>H7/E7-100%</f>
        <v>6.6761796476725088E-2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v>3207172.69</v>
      </c>
      <c r="F9" s="4"/>
      <c r="G9" s="4"/>
      <c r="H9" s="4">
        <v>3653872.93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v>691902.65</v>
      </c>
      <c r="F10" s="4"/>
      <c r="G10" s="4"/>
      <c r="H10" s="4">
        <v>791885.5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v>99610.77</v>
      </c>
      <c r="F11" s="4"/>
      <c r="G11" s="4"/>
      <c r="H11" s="4"/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v>371314.32</v>
      </c>
      <c r="F12" s="4"/>
      <c r="G12" s="4"/>
      <c r="H12" s="4">
        <v>123376.31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6061151.7400000002</v>
      </c>
      <c r="F13" s="4"/>
      <c r="G13" s="4"/>
      <c r="H13" s="4">
        <f>H14+H15+H16+H17+H18</f>
        <v>5687104.9499999993</v>
      </c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3011018.72</v>
      </c>
      <c r="F14" s="4"/>
      <c r="G14" s="4"/>
      <c r="H14" s="4">
        <v>3035606.75</v>
      </c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v>1685917.74</v>
      </c>
      <c r="F15" s="4"/>
      <c r="G15" s="4"/>
      <c r="H15" s="4">
        <v>1567037.28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v>1166808.99</v>
      </c>
      <c r="F16" s="4"/>
      <c r="G16" s="4"/>
      <c r="H16" s="4">
        <v>868260.47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4">
        <v>31946.33</v>
      </c>
      <c r="F17" s="4"/>
      <c r="G17" s="4"/>
      <c r="H17" s="4">
        <v>19734.89</v>
      </c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v>165459.96</v>
      </c>
      <c r="F18" s="4"/>
      <c r="G18" s="4"/>
      <c r="H18" s="4">
        <v>196465.56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>
        <v>3161.14</v>
      </c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>
        <v>261312.07</v>
      </c>
      <c r="F21" s="4"/>
      <c r="G21" s="4"/>
      <c r="H21" s="4">
        <v>1159761.1200000001</v>
      </c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>
        <v>29523.599999999999</v>
      </c>
      <c r="F22" s="4"/>
      <c r="G22" s="4"/>
      <c r="H22" s="4">
        <v>18645.060000000001</v>
      </c>
      <c r="I22" s="5"/>
      <c r="J22" s="5"/>
      <c r="K22" s="10"/>
    </row>
    <row r="23" spans="1:11" ht="42" customHeight="1" thickBot="1" x14ac:dyDescent="0.35">
      <c r="A23" s="31" t="s">
        <v>4</v>
      </c>
      <c r="B23" s="32"/>
      <c r="C23" s="32"/>
      <c r="D23" s="33"/>
      <c r="E23" s="21">
        <v>1396</v>
      </c>
      <c r="F23" s="32" t="s">
        <v>4</v>
      </c>
      <c r="G23" s="33"/>
      <c r="H23" s="19">
        <v>1326</v>
      </c>
      <c r="I23" s="32" t="s">
        <v>4</v>
      </c>
      <c r="J23" s="33"/>
      <c r="K23" s="12">
        <f>H23/E23-100%</f>
        <v>-5.014326647564471E-2</v>
      </c>
    </row>
    <row r="24" spans="1:11" ht="30" customHeight="1" thickBot="1" x14ac:dyDescent="0.35">
      <c r="A24" s="34">
        <f>C7-E7</f>
        <v>-1994429.8200000022</v>
      </c>
      <c r="B24" s="35"/>
      <c r="C24" s="35"/>
      <c r="D24" s="35"/>
      <c r="E24" s="36"/>
      <c r="F24" s="35">
        <f>F7-H7</f>
        <v>-2274320.7800000031</v>
      </c>
      <c r="G24" s="35"/>
      <c r="H24" s="37"/>
      <c r="I24" s="38"/>
      <c r="J24" s="38"/>
      <c r="K24" s="39"/>
    </row>
  </sheetData>
  <mergeCells count="12">
    <mergeCell ref="A23:D23"/>
    <mergeCell ref="F23:G23"/>
    <mergeCell ref="I23:J23"/>
    <mergeCell ref="A24:E24"/>
    <mergeCell ref="F24:H24"/>
    <mergeCell ref="I24:K24"/>
    <mergeCell ref="A2:K2"/>
    <mergeCell ref="A4:A5"/>
    <mergeCell ref="B4:B5"/>
    <mergeCell ref="C4:E4"/>
    <mergeCell ref="F4:H4"/>
    <mergeCell ref="I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XFD1048576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34</v>
      </c>
    </row>
    <row r="2" spans="1:12" ht="57" customHeight="1" x14ac:dyDescent="0.3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24</v>
      </c>
      <c r="D4" s="44"/>
      <c r="E4" s="45"/>
      <c r="F4" s="43" t="s">
        <v>27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32</v>
      </c>
      <c r="F5" s="16" t="s">
        <v>1</v>
      </c>
      <c r="G5" s="16" t="s">
        <v>2</v>
      </c>
      <c r="H5" s="16" t="s">
        <v>32</v>
      </c>
      <c r="I5" s="16" t="s">
        <v>1</v>
      </c>
      <c r="J5" s="16" t="s">
        <v>2</v>
      </c>
      <c r="K5" s="16" t="s">
        <v>32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thickBot="1" x14ac:dyDescent="0.35">
      <c r="A7" s="8"/>
      <c r="B7" s="2"/>
      <c r="C7" s="4">
        <v>9163486.2300000004</v>
      </c>
      <c r="D7" s="4">
        <v>8191083.8300000001</v>
      </c>
      <c r="E7" s="4">
        <v>11437807.010000004</v>
      </c>
      <c r="F7" s="4">
        <v>10069572.109999999</v>
      </c>
      <c r="G7" s="4">
        <v>9770514.2699999996</v>
      </c>
      <c r="H7" s="4">
        <f>H9+H10+H11+H12+H13+H20</f>
        <v>13432716.529999999</v>
      </c>
      <c r="I7" s="3">
        <f>F7/C7-100%</f>
        <v>9.888003945851942E-2</v>
      </c>
      <c r="J7" s="3">
        <f>G7/D7-100%</f>
        <v>0.19282313217395064</v>
      </c>
      <c r="K7" s="12">
        <f>H7/E7-100%</f>
        <v>0.17441363700715162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v>3653872.93</v>
      </c>
      <c r="F9" s="4"/>
      <c r="G9" s="4"/>
      <c r="H9" s="4">
        <v>4244302.4800000004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v>791885.5</v>
      </c>
      <c r="F10" s="4"/>
      <c r="G10" s="4"/>
      <c r="H10" s="4">
        <v>950060.12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/>
      <c r="F11" s="4"/>
      <c r="G11" s="4"/>
      <c r="H11" s="4">
        <v>133100.82999999999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v>123376.31</v>
      </c>
      <c r="F12" s="4"/>
      <c r="G12" s="4"/>
      <c r="H12" s="4">
        <v>282483.43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v>5687104.9499999993</v>
      </c>
      <c r="F13" s="4"/>
      <c r="G13" s="4"/>
      <c r="H13" s="4">
        <f>H14+H15+H16+H17+H18</f>
        <v>7814230.0700000003</v>
      </c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3035606.75</v>
      </c>
      <c r="F14" s="4"/>
      <c r="G14" s="4"/>
      <c r="H14" s="4">
        <v>3665741.69</v>
      </c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v>1567037.28</v>
      </c>
      <c r="F15" s="4"/>
      <c r="G15" s="4"/>
      <c r="H15" s="4">
        <v>1983216.47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v>868260.47</v>
      </c>
      <c r="F16" s="4"/>
      <c r="G16" s="4"/>
      <c r="H16" s="4">
        <v>1959291.41</v>
      </c>
      <c r="I16" s="5"/>
      <c r="J16" s="5"/>
      <c r="K16" s="11"/>
    </row>
    <row r="17" spans="1:13" ht="30.75" customHeight="1" x14ac:dyDescent="0.3">
      <c r="A17" s="7">
        <v>2274</v>
      </c>
      <c r="B17" s="13" t="s">
        <v>15</v>
      </c>
      <c r="C17" s="4"/>
      <c r="D17" s="4"/>
      <c r="E17" s="4">
        <v>19734.89</v>
      </c>
      <c r="F17" s="4"/>
      <c r="G17" s="4"/>
      <c r="H17" s="4">
        <v>35886.129999999997</v>
      </c>
      <c r="I17" s="5"/>
      <c r="J17" s="5"/>
      <c r="K17" s="11"/>
    </row>
    <row r="18" spans="1:13" ht="30.75" customHeight="1" x14ac:dyDescent="0.3">
      <c r="A18" s="7">
        <v>2275</v>
      </c>
      <c r="B18" s="13" t="s">
        <v>21</v>
      </c>
      <c r="C18" s="4"/>
      <c r="D18" s="4"/>
      <c r="E18" s="4">
        <v>196465.56</v>
      </c>
      <c r="F18" s="4"/>
      <c r="G18" s="4"/>
      <c r="H18" s="4">
        <v>170094.37</v>
      </c>
      <c r="I18" s="5"/>
      <c r="J18" s="5"/>
      <c r="K18" s="11"/>
    </row>
    <row r="19" spans="1:13" ht="22.5" customHeight="1" x14ac:dyDescent="0.3">
      <c r="A19" s="7">
        <v>2800</v>
      </c>
      <c r="B19" s="13" t="s">
        <v>16</v>
      </c>
      <c r="C19" s="4"/>
      <c r="D19" s="4"/>
      <c r="E19" s="4">
        <v>3161.14</v>
      </c>
      <c r="F19" s="4"/>
      <c r="G19" s="4"/>
      <c r="H19" s="4"/>
      <c r="I19" s="5"/>
      <c r="J19" s="5"/>
      <c r="K19" s="11"/>
    </row>
    <row r="20" spans="1:13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>
        <v>8539.6</v>
      </c>
      <c r="I20" s="5"/>
      <c r="J20" s="5"/>
      <c r="K20" s="11"/>
    </row>
    <row r="21" spans="1:13" ht="30.75" customHeight="1" x14ac:dyDescent="0.3">
      <c r="A21" s="7">
        <v>3141</v>
      </c>
      <c r="B21" s="13" t="s">
        <v>18</v>
      </c>
      <c r="C21" s="4"/>
      <c r="D21" s="4"/>
      <c r="E21" s="4">
        <v>1159761.1200000001</v>
      </c>
      <c r="F21" s="4"/>
      <c r="G21" s="4"/>
      <c r="H21" s="4"/>
      <c r="I21" s="5"/>
      <c r="J21" s="5"/>
      <c r="K21" s="10"/>
    </row>
    <row r="22" spans="1:13" ht="30.75" customHeight="1" x14ac:dyDescent="0.3">
      <c r="A22" s="7">
        <v>3131</v>
      </c>
      <c r="B22" s="13" t="s">
        <v>22</v>
      </c>
      <c r="C22" s="4"/>
      <c r="D22" s="4"/>
      <c r="E22" s="4">
        <v>18645.060000000001</v>
      </c>
      <c r="F22" s="4"/>
      <c r="G22" s="4"/>
      <c r="H22" s="4"/>
      <c r="I22" s="5"/>
      <c r="J22" s="5"/>
      <c r="K22" s="10"/>
    </row>
    <row r="23" spans="1:13" ht="42" customHeight="1" thickBot="1" x14ac:dyDescent="0.35">
      <c r="A23" s="31" t="s">
        <v>4</v>
      </c>
      <c r="B23" s="32"/>
      <c r="C23" s="32"/>
      <c r="D23" s="33"/>
      <c r="E23" s="26">
        <v>1326</v>
      </c>
      <c r="F23" s="32" t="s">
        <v>4</v>
      </c>
      <c r="G23" s="33"/>
      <c r="H23" s="19">
        <v>1449</v>
      </c>
      <c r="I23" s="32" t="s">
        <v>4</v>
      </c>
      <c r="J23" s="33"/>
      <c r="K23" s="12">
        <f>H23/E23-100%</f>
        <v>9.2760180995475006E-2</v>
      </c>
    </row>
    <row r="24" spans="1:13" ht="30" customHeight="1" thickBot="1" x14ac:dyDescent="0.35">
      <c r="A24" s="34">
        <f>C7-E7</f>
        <v>-2274320.7800000031</v>
      </c>
      <c r="B24" s="35"/>
      <c r="C24" s="35"/>
      <c r="D24" s="35"/>
      <c r="E24" s="36"/>
      <c r="F24" s="35">
        <f>F7-H7</f>
        <v>-3363144.42</v>
      </c>
      <c r="G24" s="35"/>
      <c r="H24" s="37"/>
      <c r="I24" s="38"/>
      <c r="J24" s="38"/>
      <c r="K24" s="39"/>
    </row>
    <row r="25" spans="1:13" x14ac:dyDescent="0.3">
      <c r="M25" t="s">
        <v>31</v>
      </c>
    </row>
  </sheetData>
  <mergeCells count="12">
    <mergeCell ref="A23:D23"/>
    <mergeCell ref="F23:G23"/>
    <mergeCell ref="I23:J23"/>
    <mergeCell ref="A24:E24"/>
    <mergeCell ref="F24:H24"/>
    <mergeCell ref="I24:K24"/>
    <mergeCell ref="A2:K2"/>
    <mergeCell ref="A4:A5"/>
    <mergeCell ref="B4:B5"/>
    <mergeCell ref="C4:E4"/>
    <mergeCell ref="F4:H4"/>
    <mergeCell ref="I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D14" sqref="D14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A1">
        <v>2022</v>
      </c>
      <c r="K1" t="s">
        <v>34</v>
      </c>
    </row>
    <row r="2" spans="1:12" ht="57" customHeight="1" x14ac:dyDescent="0.3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27</v>
      </c>
      <c r="D4" s="44"/>
      <c r="E4" s="45"/>
      <c r="F4" s="43" t="s">
        <v>35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32</v>
      </c>
      <c r="F5" s="16" t="s">
        <v>1</v>
      </c>
      <c r="G5" s="16" t="s">
        <v>2</v>
      </c>
      <c r="H5" s="16" t="s">
        <v>32</v>
      </c>
      <c r="I5" s="16" t="s">
        <v>1</v>
      </c>
      <c r="J5" s="16" t="s">
        <v>2</v>
      </c>
      <c r="K5" s="16" t="s">
        <v>32</v>
      </c>
    </row>
    <row r="6" spans="1:12" ht="30.75" customHeight="1" x14ac:dyDescent="0.3">
      <c r="A6" s="8"/>
      <c r="B6" s="2"/>
      <c r="C6" s="4">
        <v>10069572.109999999</v>
      </c>
      <c r="D6" s="4">
        <v>9770514.2699999996</v>
      </c>
      <c r="E6" s="4">
        <f>E7+E8+E9+E10+E11+E18</f>
        <v>13432716.529999999</v>
      </c>
      <c r="F6" s="4">
        <v>13047916.029999999</v>
      </c>
      <c r="G6" s="4">
        <v>10233026.58</v>
      </c>
      <c r="H6" s="4">
        <f>H7+H8+H9+H10+H11+H18</f>
        <v>11834946.790000001</v>
      </c>
      <c r="I6" s="3">
        <f>F6/C6-100%</f>
        <v>0.29577661170351366</v>
      </c>
      <c r="J6" s="3">
        <f>G6/D6-100%</f>
        <v>4.7337560461901962E-2</v>
      </c>
      <c r="K6" s="28">
        <f>H6/E6-100%</f>
        <v>-0.11894613695090006</v>
      </c>
      <c r="L6" s="6"/>
    </row>
    <row r="7" spans="1:12" ht="28.5" customHeight="1" x14ac:dyDescent="0.3">
      <c r="A7" s="7">
        <v>2111</v>
      </c>
      <c r="B7" s="13" t="s">
        <v>7</v>
      </c>
      <c r="C7" s="4"/>
      <c r="D7" s="4"/>
      <c r="E7" s="4">
        <v>4244302.4800000004</v>
      </c>
      <c r="F7" s="4"/>
      <c r="G7" s="4"/>
      <c r="H7" s="4">
        <v>4005256.16</v>
      </c>
      <c r="I7" s="5"/>
      <c r="J7" s="5"/>
      <c r="K7" s="11"/>
    </row>
    <row r="8" spans="1:12" ht="39" customHeight="1" x14ac:dyDescent="0.3">
      <c r="A8" s="7">
        <v>2120</v>
      </c>
      <c r="B8" s="13" t="s">
        <v>8</v>
      </c>
      <c r="C8" s="4"/>
      <c r="D8" s="4"/>
      <c r="E8" s="4">
        <v>950060.12</v>
      </c>
      <c r="F8" s="4"/>
      <c r="G8" s="4"/>
      <c r="H8" s="4">
        <v>902492.61</v>
      </c>
      <c r="I8" s="5"/>
      <c r="J8" s="5"/>
      <c r="K8" s="11"/>
    </row>
    <row r="9" spans="1:12" ht="24.75" customHeight="1" x14ac:dyDescent="0.3">
      <c r="A9" s="7">
        <v>2210</v>
      </c>
      <c r="B9" s="13" t="s">
        <v>9</v>
      </c>
      <c r="C9" s="4"/>
      <c r="D9" s="4"/>
      <c r="E9" s="4">
        <v>133100.82999999999</v>
      </c>
      <c r="F9" s="4"/>
      <c r="G9" s="4"/>
      <c r="H9" s="4">
        <f>69565.55+505.58+140+30585.07</f>
        <v>100796.20000000001</v>
      </c>
      <c r="I9" s="5"/>
      <c r="J9" s="5"/>
      <c r="K9" s="11"/>
    </row>
    <row r="10" spans="1:12" ht="33.75" customHeight="1" x14ac:dyDescent="0.3">
      <c r="A10" s="7">
        <v>2240</v>
      </c>
      <c r="B10" s="13" t="s">
        <v>10</v>
      </c>
      <c r="C10" s="4"/>
      <c r="D10" s="4"/>
      <c r="E10" s="4">
        <v>282483.43</v>
      </c>
      <c r="F10" s="4"/>
      <c r="G10" s="4"/>
      <c r="H10" s="4">
        <f>135414.65+6600</f>
        <v>142014.65</v>
      </c>
      <c r="I10" s="5"/>
      <c r="J10" s="5"/>
      <c r="K10" s="11"/>
    </row>
    <row r="11" spans="1:12" ht="38.25" customHeight="1" x14ac:dyDescent="0.3">
      <c r="A11" s="7">
        <v>2270</v>
      </c>
      <c r="B11" s="13" t="s">
        <v>11</v>
      </c>
      <c r="C11" s="4"/>
      <c r="D11" s="4"/>
      <c r="E11" s="4">
        <f>E12+E13+E14+E15+E16</f>
        <v>7814230.0700000003</v>
      </c>
      <c r="F11" s="4"/>
      <c r="G11" s="4"/>
      <c r="H11" s="4">
        <f>H12+H13+H14+H15+H16</f>
        <v>6675847.5700000003</v>
      </c>
      <c r="I11" s="5"/>
      <c r="J11" s="5"/>
      <c r="K11" s="11"/>
    </row>
    <row r="12" spans="1:12" ht="36" customHeight="1" x14ac:dyDescent="0.3">
      <c r="A12" s="7">
        <v>2271</v>
      </c>
      <c r="B12" s="13" t="s">
        <v>12</v>
      </c>
      <c r="C12" s="4"/>
      <c r="D12" s="4"/>
      <c r="E12" s="4">
        <v>3665741.69</v>
      </c>
      <c r="F12" s="4"/>
      <c r="G12" s="4"/>
      <c r="H12" s="4">
        <f>3131081.89+150.68</f>
        <v>3131232.5700000003</v>
      </c>
      <c r="I12" s="5"/>
      <c r="J12" s="5"/>
      <c r="K12" s="11"/>
    </row>
    <row r="13" spans="1:12" ht="60" customHeight="1" x14ac:dyDescent="0.3">
      <c r="A13" s="7">
        <v>2272</v>
      </c>
      <c r="B13" s="13" t="s">
        <v>13</v>
      </c>
      <c r="C13" s="4"/>
      <c r="D13" s="4"/>
      <c r="E13" s="4">
        <v>1983216.47</v>
      </c>
      <c r="F13" s="4"/>
      <c r="G13" s="4"/>
      <c r="H13" s="4">
        <f>1588462.69</f>
        <v>1588462.69</v>
      </c>
      <c r="I13" s="5"/>
      <c r="J13" s="5"/>
      <c r="K13" s="11"/>
    </row>
    <row r="14" spans="1:12" ht="27.75" customHeight="1" x14ac:dyDescent="0.3">
      <c r="A14" s="7">
        <v>2273</v>
      </c>
      <c r="B14" s="13" t="s">
        <v>14</v>
      </c>
      <c r="C14" s="4"/>
      <c r="D14" s="4"/>
      <c r="E14" s="4">
        <v>1959291.41</v>
      </c>
      <c r="F14" s="4"/>
      <c r="G14" s="4"/>
      <c r="H14" s="4">
        <f>1776209.28</f>
        <v>1776209.28</v>
      </c>
      <c r="I14" s="5"/>
      <c r="J14" s="5"/>
      <c r="K14" s="11"/>
    </row>
    <row r="15" spans="1:12" ht="30.75" customHeight="1" x14ac:dyDescent="0.3">
      <c r="A15" s="7">
        <v>2274</v>
      </c>
      <c r="B15" s="13" t="s">
        <v>15</v>
      </c>
      <c r="C15" s="4"/>
      <c r="D15" s="4"/>
      <c r="E15" s="4">
        <v>35886.129999999997</v>
      </c>
      <c r="F15" s="4"/>
      <c r="G15" s="4"/>
      <c r="H15" s="4">
        <f>12626.55</f>
        <v>12626.55</v>
      </c>
      <c r="I15" s="5"/>
      <c r="J15" s="5"/>
      <c r="K15" s="11"/>
    </row>
    <row r="16" spans="1:12" ht="30.75" customHeight="1" x14ac:dyDescent="0.3">
      <c r="A16" s="7">
        <v>2275</v>
      </c>
      <c r="B16" s="13" t="s">
        <v>21</v>
      </c>
      <c r="C16" s="4"/>
      <c r="D16" s="4"/>
      <c r="E16" s="4">
        <v>170094.37</v>
      </c>
      <c r="F16" s="4"/>
      <c r="G16" s="4"/>
      <c r="H16" s="4">
        <f>167316.48</f>
        <v>167316.48000000001</v>
      </c>
      <c r="I16" s="5"/>
      <c r="J16" s="5"/>
      <c r="K16" s="11"/>
    </row>
    <row r="17" spans="1:13" ht="22.5" customHeight="1" x14ac:dyDescent="0.3">
      <c r="A17" s="7">
        <v>2800</v>
      </c>
      <c r="B17" s="13" t="s">
        <v>16</v>
      </c>
      <c r="C17" s="4"/>
      <c r="D17" s="4"/>
      <c r="E17" s="4"/>
      <c r="F17" s="4"/>
      <c r="G17" s="4"/>
      <c r="H17" s="4"/>
      <c r="I17" s="5"/>
      <c r="J17" s="5"/>
      <c r="K17" s="11"/>
    </row>
    <row r="18" spans="1:13" ht="72" customHeight="1" x14ac:dyDescent="0.3">
      <c r="A18" s="7">
        <v>3110</v>
      </c>
      <c r="B18" s="13" t="s">
        <v>17</v>
      </c>
      <c r="C18" s="4"/>
      <c r="D18" s="4"/>
      <c r="E18" s="4">
        <v>8539.6</v>
      </c>
      <c r="F18" s="4"/>
      <c r="G18" s="4"/>
      <c r="H18" s="4">
        <v>8539.6</v>
      </c>
      <c r="I18" s="5"/>
      <c r="J18" s="5"/>
      <c r="K18" s="11"/>
    </row>
    <row r="19" spans="1:13" ht="36.75" customHeight="1" x14ac:dyDescent="0.3">
      <c r="A19" s="7">
        <v>3141</v>
      </c>
      <c r="B19" s="13" t="s">
        <v>18</v>
      </c>
      <c r="C19" s="4"/>
      <c r="D19" s="4"/>
      <c r="E19" s="4"/>
      <c r="F19" s="4"/>
      <c r="G19" s="4"/>
      <c r="H19" s="4"/>
      <c r="I19" s="5"/>
      <c r="J19" s="5"/>
      <c r="K19" s="10"/>
    </row>
    <row r="20" spans="1:13" ht="40.5" customHeight="1" x14ac:dyDescent="0.3">
      <c r="A20" s="7">
        <v>3131</v>
      </c>
      <c r="B20" s="13" t="s">
        <v>22</v>
      </c>
      <c r="C20" s="4"/>
      <c r="D20" s="4"/>
      <c r="E20" s="4"/>
      <c r="F20" s="4"/>
      <c r="G20" s="4"/>
      <c r="H20" s="4"/>
      <c r="I20" s="5"/>
      <c r="J20" s="5"/>
      <c r="K20" s="10"/>
    </row>
    <row r="21" spans="1:13" ht="34.5" customHeight="1" thickBot="1" x14ac:dyDescent="0.35">
      <c r="A21" s="46" t="s">
        <v>4</v>
      </c>
      <c r="B21" s="46"/>
      <c r="C21" s="47" t="s">
        <v>4</v>
      </c>
      <c r="D21" s="48"/>
      <c r="E21" s="27">
        <v>1449</v>
      </c>
      <c r="F21" s="47" t="s">
        <v>4</v>
      </c>
      <c r="G21" s="48"/>
      <c r="H21" s="30">
        <v>1268</v>
      </c>
      <c r="I21" s="47" t="s">
        <v>4</v>
      </c>
      <c r="J21" s="48"/>
      <c r="K21" s="28">
        <f>H21/E21-100%</f>
        <v>-0.12491373360938574</v>
      </c>
    </row>
    <row r="22" spans="1:13" ht="37.5" customHeight="1" thickBot="1" x14ac:dyDescent="0.35">
      <c r="A22" s="49" t="s">
        <v>37</v>
      </c>
      <c r="B22" s="50"/>
      <c r="C22" s="35">
        <f>D6-E6</f>
        <v>-3662202.26</v>
      </c>
      <c r="D22" s="35"/>
      <c r="E22" s="37"/>
      <c r="F22" s="35">
        <f>G6-H6</f>
        <v>-1601920.2100000009</v>
      </c>
      <c r="G22" s="35"/>
      <c r="H22" s="37"/>
      <c r="I22" s="38"/>
      <c r="J22" s="38"/>
      <c r="K22" s="39"/>
    </row>
    <row r="23" spans="1:13" x14ac:dyDescent="0.3">
      <c r="M23" t="s">
        <v>31</v>
      </c>
    </row>
  </sheetData>
  <mergeCells count="14">
    <mergeCell ref="A21:B21"/>
    <mergeCell ref="C21:D21"/>
    <mergeCell ref="F21:G21"/>
    <mergeCell ref="I21:J21"/>
    <mergeCell ref="A22:B22"/>
    <mergeCell ref="C22:E22"/>
    <mergeCell ref="F22:H22"/>
    <mergeCell ref="I22:K22"/>
    <mergeCell ref="A2:K2"/>
    <mergeCell ref="A4:A5"/>
    <mergeCell ref="B4:B5"/>
    <mergeCell ref="C4:E4"/>
    <mergeCell ref="F4:H4"/>
    <mergeCell ref="I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60" zoomScaleNormal="60" workbookViewId="0">
      <selection activeCell="D29" sqref="D29:D30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34</v>
      </c>
    </row>
    <row r="2" spans="1:12" ht="57" customHeight="1" x14ac:dyDescent="0.3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1.75" customHeight="1" thickBot="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 t="s">
        <v>23</v>
      </c>
    </row>
    <row r="4" spans="1:12" ht="42.75" customHeight="1" thickBot="1" x14ac:dyDescent="0.35">
      <c r="A4" s="41" t="s">
        <v>0</v>
      </c>
      <c r="B4" s="41" t="s">
        <v>6</v>
      </c>
      <c r="C4" s="43" t="s">
        <v>35</v>
      </c>
      <c r="D4" s="44"/>
      <c r="E4" s="45"/>
      <c r="F4" s="43" t="s">
        <v>38</v>
      </c>
      <c r="G4" s="44"/>
      <c r="H4" s="45"/>
      <c r="I4" s="43" t="s">
        <v>3</v>
      </c>
      <c r="J4" s="44"/>
      <c r="K4" s="45"/>
    </row>
    <row r="5" spans="1:12" ht="39" customHeight="1" thickBot="1" x14ac:dyDescent="0.35">
      <c r="A5" s="42"/>
      <c r="B5" s="42"/>
      <c r="C5" s="16" t="s">
        <v>1</v>
      </c>
      <c r="D5" s="16" t="s">
        <v>2</v>
      </c>
      <c r="E5" s="16" t="s">
        <v>32</v>
      </c>
      <c r="F5" s="16" t="s">
        <v>1</v>
      </c>
      <c r="G5" s="16" t="s">
        <v>2</v>
      </c>
      <c r="H5" s="16" t="s">
        <v>32</v>
      </c>
      <c r="I5" s="16" t="s">
        <v>1</v>
      </c>
      <c r="J5" s="16" t="s">
        <v>2</v>
      </c>
      <c r="K5" s="16" t="s">
        <v>32</v>
      </c>
    </row>
    <row r="6" spans="1:12" ht="30.75" customHeight="1" x14ac:dyDescent="0.3">
      <c r="A6" s="8"/>
      <c r="B6" s="2"/>
      <c r="C6" s="4">
        <v>13047916.029999999</v>
      </c>
      <c r="D6" s="4">
        <v>10233026.58</v>
      </c>
      <c r="E6" s="4">
        <f>E7+E8+E9+E10+E11+E19</f>
        <v>11834946.790000001</v>
      </c>
      <c r="F6" s="4">
        <v>11723474.060000001</v>
      </c>
      <c r="G6" s="4">
        <v>11225234.359999999</v>
      </c>
      <c r="H6" s="4">
        <f>H7+H8+H9+H10+H11+H17+H19</f>
        <v>12440974.030000001</v>
      </c>
      <c r="I6" s="3">
        <f>F6/C6-100%</f>
        <v>-0.10150601574648532</v>
      </c>
      <c r="J6" s="3">
        <f>G6/D6-100%</f>
        <v>9.696132148617953E-2</v>
      </c>
      <c r="K6" s="28">
        <f>H6/E6-100%</f>
        <v>5.120658763857433E-2</v>
      </c>
      <c r="L6" s="6"/>
    </row>
    <row r="7" spans="1:12" ht="28.5" customHeight="1" x14ac:dyDescent="0.3">
      <c r="A7" s="7">
        <v>2111</v>
      </c>
      <c r="B7" s="13" t="s">
        <v>7</v>
      </c>
      <c r="C7" s="4"/>
      <c r="D7" s="4"/>
      <c r="E7" s="4">
        <v>4005256.16</v>
      </c>
      <c r="F7" s="4"/>
      <c r="G7" s="4"/>
      <c r="H7" s="4">
        <v>4225897.55</v>
      </c>
      <c r="I7" s="5"/>
      <c r="J7" s="5"/>
      <c r="K7" s="11"/>
    </row>
    <row r="8" spans="1:12" ht="39" customHeight="1" x14ac:dyDescent="0.3">
      <c r="A8" s="7">
        <v>2120</v>
      </c>
      <c r="B8" s="13" t="s">
        <v>8</v>
      </c>
      <c r="C8" s="4"/>
      <c r="D8" s="4"/>
      <c r="E8" s="4">
        <v>902492.61</v>
      </c>
      <c r="F8" s="4"/>
      <c r="G8" s="4"/>
      <c r="H8" s="4">
        <v>927355.84</v>
      </c>
      <c r="I8" s="5"/>
      <c r="J8" s="5"/>
      <c r="K8" s="11"/>
    </row>
    <row r="9" spans="1:12" ht="24.75" customHeight="1" x14ac:dyDescent="0.3">
      <c r="A9" s="7">
        <v>2210</v>
      </c>
      <c r="B9" s="13" t="s">
        <v>9</v>
      </c>
      <c r="C9" s="4"/>
      <c r="D9" s="4"/>
      <c r="E9" s="4">
        <f>69565.55+505.58+140+30585.07</f>
        <v>100796.20000000001</v>
      </c>
      <c r="F9" s="4"/>
      <c r="G9" s="4"/>
      <c r="H9" s="4">
        <f>64933.01+21971.11+2120.04+92.66</f>
        <v>89116.819999999992</v>
      </c>
      <c r="I9" s="5"/>
      <c r="J9" s="5"/>
      <c r="K9" s="11"/>
    </row>
    <row r="10" spans="1:12" ht="33.75" customHeight="1" x14ac:dyDescent="0.3">
      <c r="A10" s="7">
        <v>2240</v>
      </c>
      <c r="B10" s="13" t="s">
        <v>10</v>
      </c>
      <c r="C10" s="4"/>
      <c r="D10" s="4"/>
      <c r="E10" s="4">
        <f>135414.65+6600</f>
        <v>142014.65</v>
      </c>
      <c r="F10" s="4"/>
      <c r="G10" s="4"/>
      <c r="H10" s="4">
        <f>10875.99+133042.48+29210.67+77699.6</f>
        <v>250828.74000000002</v>
      </c>
      <c r="I10" s="5"/>
      <c r="J10" s="5"/>
      <c r="K10" s="11"/>
    </row>
    <row r="11" spans="1:12" ht="38.25" customHeight="1" x14ac:dyDescent="0.3">
      <c r="A11" s="7">
        <v>2270</v>
      </c>
      <c r="B11" s="13" t="s">
        <v>11</v>
      </c>
      <c r="C11" s="4"/>
      <c r="D11" s="4"/>
      <c r="E11" s="4">
        <f>E12+E13+E14+E15+E16</f>
        <v>6675847.5700000003</v>
      </c>
      <c r="F11" s="4"/>
      <c r="G11" s="4"/>
      <c r="H11" s="4">
        <f>H12+H13+H14+H15+H16</f>
        <v>6939315.080000001</v>
      </c>
      <c r="I11" s="5"/>
      <c r="J11" s="5"/>
      <c r="K11" s="11"/>
    </row>
    <row r="12" spans="1:12" ht="36" customHeight="1" x14ac:dyDescent="0.3">
      <c r="A12" s="7">
        <v>2271</v>
      </c>
      <c r="B12" s="13" t="s">
        <v>12</v>
      </c>
      <c r="C12" s="4"/>
      <c r="D12" s="4"/>
      <c r="E12" s="4">
        <f>3131081.89+150.68</f>
        <v>3131232.5700000003</v>
      </c>
      <c r="F12" s="4"/>
      <c r="G12" s="4"/>
      <c r="H12" s="4">
        <f>1692484.08+714946</f>
        <v>2407430.08</v>
      </c>
      <c r="I12" s="5"/>
      <c r="J12" s="5"/>
      <c r="K12" s="11"/>
    </row>
    <row r="13" spans="1:12" ht="60" customHeight="1" x14ac:dyDescent="0.3">
      <c r="A13" s="7">
        <v>2272</v>
      </c>
      <c r="B13" s="13" t="s">
        <v>13</v>
      </c>
      <c r="C13" s="4"/>
      <c r="D13" s="4"/>
      <c r="E13" s="4">
        <f>1588462.69</f>
        <v>1588462.69</v>
      </c>
      <c r="F13" s="4"/>
      <c r="G13" s="4"/>
      <c r="H13" s="4">
        <f>737315.64+454964</f>
        <v>1192279.6400000001</v>
      </c>
      <c r="I13" s="5"/>
      <c r="J13" s="5"/>
      <c r="K13" s="11"/>
    </row>
    <row r="14" spans="1:12" ht="27.75" customHeight="1" x14ac:dyDescent="0.3">
      <c r="A14" s="7">
        <v>2273</v>
      </c>
      <c r="B14" s="13" t="s">
        <v>14</v>
      </c>
      <c r="C14" s="4"/>
      <c r="D14" s="4"/>
      <c r="E14" s="4">
        <f>1776209.28</f>
        <v>1776209.28</v>
      </c>
      <c r="F14" s="4"/>
      <c r="G14" s="4"/>
      <c r="H14" s="4">
        <f>2367561.16+747452</f>
        <v>3115013.16</v>
      </c>
      <c r="I14" s="5"/>
      <c r="J14" s="5"/>
      <c r="K14" s="11"/>
    </row>
    <row r="15" spans="1:12" ht="30.75" customHeight="1" x14ac:dyDescent="0.3">
      <c r="A15" s="7">
        <v>2274</v>
      </c>
      <c r="B15" s="13" t="s">
        <v>15</v>
      </c>
      <c r="C15" s="4"/>
      <c r="D15" s="4"/>
      <c r="E15" s="4">
        <f>12626.55</f>
        <v>12626.55</v>
      </c>
      <c r="F15" s="4"/>
      <c r="G15" s="4"/>
      <c r="H15" s="4">
        <f>41489.12+14438</f>
        <v>55927.12</v>
      </c>
      <c r="I15" s="5"/>
      <c r="J15" s="5"/>
      <c r="K15" s="11"/>
    </row>
    <row r="16" spans="1:12" ht="30.75" customHeight="1" x14ac:dyDescent="0.3">
      <c r="A16" s="7">
        <v>2275</v>
      </c>
      <c r="B16" s="13" t="s">
        <v>21</v>
      </c>
      <c r="C16" s="4"/>
      <c r="D16" s="4"/>
      <c r="E16" s="4">
        <f>167316.48</f>
        <v>167316.48000000001</v>
      </c>
      <c r="F16" s="4"/>
      <c r="G16" s="4"/>
      <c r="H16" s="4">
        <f>98778.08+14000+55887</f>
        <v>168665.08000000002</v>
      </c>
      <c r="I16" s="5"/>
      <c r="J16" s="5"/>
      <c r="K16" s="11"/>
    </row>
    <row r="17" spans="1:13" ht="30.75" customHeight="1" x14ac:dyDescent="0.3">
      <c r="A17" s="7">
        <v>2282</v>
      </c>
      <c r="B17" s="13" t="s">
        <v>39</v>
      </c>
      <c r="C17" s="4"/>
      <c r="D17" s="4"/>
      <c r="E17" s="4"/>
      <c r="F17" s="4"/>
      <c r="G17" s="4"/>
      <c r="H17" s="4">
        <v>1900</v>
      </c>
      <c r="I17" s="5"/>
      <c r="J17" s="5"/>
      <c r="K17" s="11"/>
    </row>
    <row r="18" spans="1:13" ht="22.5" customHeight="1" x14ac:dyDescent="0.3">
      <c r="A18" s="7">
        <v>2800</v>
      </c>
      <c r="B18" s="13" t="s">
        <v>16</v>
      </c>
      <c r="C18" s="4"/>
      <c r="D18" s="4"/>
      <c r="E18" s="4"/>
      <c r="F18" s="4"/>
      <c r="G18" s="4"/>
      <c r="H18" s="4"/>
      <c r="I18" s="5"/>
      <c r="J18" s="5"/>
      <c r="K18" s="11"/>
    </row>
    <row r="19" spans="1:13" ht="72" customHeight="1" x14ac:dyDescent="0.3">
      <c r="A19" s="7">
        <v>3110</v>
      </c>
      <c r="B19" s="13" t="s">
        <v>17</v>
      </c>
      <c r="C19" s="4"/>
      <c r="D19" s="4"/>
      <c r="E19" s="4">
        <v>8539.6</v>
      </c>
      <c r="F19" s="4"/>
      <c r="G19" s="4"/>
      <c r="H19" s="4">
        <f>6560</f>
        <v>6560</v>
      </c>
      <c r="I19" s="5"/>
      <c r="J19" s="5"/>
      <c r="K19" s="11"/>
    </row>
    <row r="20" spans="1:13" ht="36.75" customHeight="1" x14ac:dyDescent="0.3">
      <c r="A20" s="7">
        <v>3141</v>
      </c>
      <c r="B20" s="13" t="s">
        <v>18</v>
      </c>
      <c r="C20" s="4"/>
      <c r="D20" s="4"/>
      <c r="E20" s="4"/>
      <c r="F20" s="4"/>
      <c r="G20" s="4"/>
      <c r="H20" s="4"/>
      <c r="I20" s="5"/>
      <c r="J20" s="5"/>
      <c r="K20" s="10"/>
    </row>
    <row r="21" spans="1:13" ht="40.5" customHeight="1" x14ac:dyDescent="0.3">
      <c r="A21" s="7">
        <v>3131</v>
      </c>
      <c r="B21" s="13" t="s">
        <v>22</v>
      </c>
      <c r="C21" s="4"/>
      <c r="D21" s="4"/>
      <c r="E21" s="4"/>
      <c r="F21" s="4"/>
      <c r="G21" s="4"/>
      <c r="H21" s="4"/>
      <c r="I21" s="5"/>
      <c r="J21" s="5"/>
      <c r="K21" s="10"/>
    </row>
    <row r="22" spans="1:13" ht="42" customHeight="1" thickBot="1" x14ac:dyDescent="0.35">
      <c r="A22" s="46" t="s">
        <v>4</v>
      </c>
      <c r="B22" s="46"/>
      <c r="C22" s="47" t="s">
        <v>4</v>
      </c>
      <c r="D22" s="48"/>
      <c r="E22" s="30">
        <v>1268</v>
      </c>
      <c r="F22" s="47" t="s">
        <v>4</v>
      </c>
      <c r="G22" s="48"/>
      <c r="H22" s="30">
        <v>1130</v>
      </c>
      <c r="I22" s="47" t="s">
        <v>4</v>
      </c>
      <c r="J22" s="48"/>
      <c r="K22" s="28">
        <f>H22/E22-100%</f>
        <v>-0.10883280757097791</v>
      </c>
    </row>
    <row r="23" spans="1:13" ht="37.5" customHeight="1" thickBot="1" x14ac:dyDescent="0.35">
      <c r="A23" s="49" t="s">
        <v>37</v>
      </c>
      <c r="B23" s="50"/>
      <c r="C23" s="35">
        <f>D6-E6</f>
        <v>-1601920.2100000009</v>
      </c>
      <c r="D23" s="35"/>
      <c r="E23" s="37"/>
      <c r="F23" s="35">
        <f>G6-H6</f>
        <v>-1215739.6700000018</v>
      </c>
      <c r="G23" s="35"/>
      <c r="H23" s="37"/>
      <c r="I23" s="38"/>
      <c r="J23" s="38"/>
      <c r="K23" s="39"/>
    </row>
    <row r="24" spans="1:13" x14ac:dyDescent="0.3">
      <c r="M24" t="s">
        <v>31</v>
      </c>
    </row>
  </sheetData>
  <mergeCells count="14">
    <mergeCell ref="F22:G22"/>
    <mergeCell ref="I22:J22"/>
    <mergeCell ref="F23:H23"/>
    <mergeCell ref="I23:K23"/>
    <mergeCell ref="A22:B22"/>
    <mergeCell ref="C23:E23"/>
    <mergeCell ref="C22:D22"/>
    <mergeCell ref="A23:B23"/>
    <mergeCell ref="A2:K2"/>
    <mergeCell ref="A4:A5"/>
    <mergeCell ref="B4:B5"/>
    <mergeCell ref="C4:E4"/>
    <mergeCell ref="F4:H4"/>
    <mergeCell ref="I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23" max="16383" man="1"/>
  </rowBreaks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Гуртожиток №2</vt:lpstr>
      <vt:lpstr>Гуртожиток №3</vt:lpstr>
      <vt:lpstr>Гуртожиток №4</vt:lpstr>
      <vt:lpstr>Гуртожиток №5</vt:lpstr>
      <vt:lpstr>2020</vt:lpstr>
      <vt:lpstr>2021</vt:lpstr>
      <vt:lpstr>2022</vt:lpstr>
      <vt:lpstr>2023</vt:lpstr>
      <vt:lpstr>'2023'!Область_печати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User</cp:lastModifiedBy>
  <cp:lastPrinted>2024-02-21T07:54:42Z</cp:lastPrinted>
  <dcterms:created xsi:type="dcterms:W3CDTF">2019-03-25T07:24:52Z</dcterms:created>
  <dcterms:modified xsi:type="dcterms:W3CDTF">2024-02-21T07:56:39Z</dcterms:modified>
</cp:coreProperties>
</file>